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<sst xmlns="http://schemas.openxmlformats.org/spreadsheetml/2006/main" count="63" uniqueCount="63">
  <si>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Compartiment Contractare </t>
  </si>
  <si>
    <t xml:space="preserve">CAS DAMBOVITA </t>
  </si>
  <si>
    <t>NR.</t>
  </si>
  <si>
    <t xml:space="preserve">FURNIZOR </t>
  </si>
  <si>
    <t>NR</t>
  </si>
  <si>
    <t>CRT</t>
  </si>
  <si>
    <t>CTR</t>
  </si>
  <si>
    <t xml:space="preserve">SC LORENTINA 2102 SRL </t>
  </si>
  <si>
    <t>14R/2018</t>
  </si>
  <si>
    <t xml:space="preserve">SC IVAKINETIC SRL  </t>
  </si>
  <si>
    <t>15R/2018</t>
  </si>
  <si>
    <t xml:space="preserve">SPITALUL JUDETEAN URGENTA TARGOVISTE </t>
  </si>
  <si>
    <t>1R/2018</t>
  </si>
  <si>
    <t xml:space="preserve">SPITALUL MUNICIPAL MORENI </t>
  </si>
  <si>
    <t>4R/2018</t>
  </si>
  <si>
    <t xml:space="preserve">SPITALUL ORASENESC PUCIOASA </t>
  </si>
  <si>
    <t>11R/2018</t>
  </si>
  <si>
    <t>SC ALMINA TRADING SA</t>
  </si>
  <si>
    <t>8R/2018</t>
  </si>
  <si>
    <t>TBRCM SA BUCURESTI SUC PUCIOASA</t>
  </si>
  <si>
    <t>12R/2018</t>
  </si>
  <si>
    <t>SC TURISM SA PUCIOASA</t>
  </si>
  <si>
    <t>13R/2018</t>
  </si>
  <si>
    <t>SC HYMARCO CLINIQUE SRL</t>
  </si>
  <si>
    <t>16R/2018</t>
  </si>
  <si>
    <t>TOTAL:</t>
  </si>
  <si>
    <t>CONTRACT 2020</t>
  </si>
  <si>
    <t xml:space="preserve">CENTRE MULTIFUNCTIONALE </t>
  </si>
  <si>
    <t>INITIAL</t>
  </si>
  <si>
    <t>IAN</t>
  </si>
  <si>
    <t>FEB</t>
  </si>
  <si>
    <t xml:space="preserve">MARTIE </t>
  </si>
  <si>
    <t xml:space="preserve">TRIM I </t>
  </si>
  <si>
    <t xml:space="preserve">APR </t>
  </si>
  <si>
    <t xml:space="preserve">MAI </t>
  </si>
  <si>
    <t>IUN ini</t>
  </si>
  <si>
    <t xml:space="preserve"> suplim CA </t>
  </si>
  <si>
    <t xml:space="preserve">nerealiz din </t>
  </si>
  <si>
    <t>redistrib</t>
  </si>
  <si>
    <t>IUN</t>
  </si>
  <si>
    <t>TRIM II</t>
  </si>
  <si>
    <t>SEM I 2020</t>
  </si>
  <si>
    <t>IUL</t>
  </si>
  <si>
    <t>AUG ini</t>
  </si>
  <si>
    <t>AUG fin</t>
  </si>
  <si>
    <t xml:space="preserve">suma </t>
  </si>
  <si>
    <t xml:space="preserve">8 luni </t>
  </si>
  <si>
    <t>SEPT</t>
  </si>
  <si>
    <t xml:space="preserve">trim III </t>
  </si>
  <si>
    <t>9luni</t>
  </si>
  <si>
    <t>OCT</t>
  </si>
  <si>
    <t xml:space="preserve">NOV </t>
  </si>
  <si>
    <t xml:space="preserve">DEC </t>
  </si>
  <si>
    <t xml:space="preserve">trim iv </t>
  </si>
  <si>
    <t>contract</t>
  </si>
  <si>
    <t xml:space="preserve">IUN </t>
  </si>
  <si>
    <t>supliment</t>
  </si>
  <si>
    <t xml:space="preserve">pe crit </t>
  </si>
  <si>
    <t>necontractata</t>
  </si>
  <si>
    <t xml:space="preserve">an </t>
  </si>
  <si>
    <t>REMED</t>
  </si>
  <si>
    <t>17R/2020</t>
  </si>
  <si>
    <t>Nota :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</si>
</sst>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#,##0\ _l_e_i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2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173" fontId="1" fillId="0" borderId="2" xfId="0" applyNumberFormat="1" applyFont="1" applyBorder="1" applyAlignment="1">
      <alignment/>
    </xf>
    <xf numFmtId="17" fontId="1" fillId="0" borderId="2" xfId="0" applyNumberFormat="1" applyFont="1" applyBorder="1" applyAlignment="1">
      <alignment horizontal="center"/>
    </xf>
    <xf numFmtId="17" fontId="1" fillId="2" borderId="8" xfId="0" applyNumberFormat="1" applyFont="1" applyFill="1" applyBorder="1" applyAlignment="1">
      <alignment/>
    </xf>
    <xf numFmtId="172" fontId="1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2" borderId="8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1" fillId="0" borderId="8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24"/>
  <sheetViews>
    <sheetView tabSelected="1" workbookViewId="0" topLeftCell="A1">
      <selection activeCell="Y26" sqref="Y26"/>
    </sheetView>
  </sheetViews>
  <sheetFormatPr defaultColWidth="9.140625" defaultRowHeight="12.75"/>
  <cols>
    <col min="1" max="1" width="1.7109375" style="0" customWidth="1"/>
    <col min="2" max="2" width="12.140625" style="0" customWidth="1"/>
    <col min="3" max="3" width="7.8515625" style="0" customWidth="1"/>
    <col min="4" max="4" width="8.00390625" style="0" customWidth="1"/>
    <col min="5" max="5" width="9.28125" style="0" customWidth="1"/>
    <col min="6" max="6" width="8.8515625" style="0" customWidth="1"/>
    <col min="7" max="7" width="8.28125" style="0" customWidth="1"/>
    <col min="8" max="8" width="10.140625" style="0" hidden="1" customWidth="1"/>
    <col min="9" max="9" width="9.8515625" style="0" hidden="1" customWidth="1"/>
    <col min="10" max="10" width="8.421875" style="0" hidden="1" customWidth="1"/>
    <col min="11" max="11" width="8.140625" style="0" hidden="1" customWidth="1"/>
    <col min="12" max="12" width="8.421875" style="0" hidden="1" customWidth="1"/>
    <col min="13" max="13" width="8.7109375" style="0" hidden="1" customWidth="1"/>
    <col min="14" max="14" width="11.57421875" style="0" hidden="1" customWidth="1"/>
    <col min="15" max="23" width="0" style="0" hidden="1" customWidth="1"/>
    <col min="24" max="25" width="8.00390625" style="0" customWidth="1"/>
    <col min="26" max="26" width="6.140625" style="0" hidden="1" customWidth="1"/>
    <col min="27" max="27" width="8.140625" style="0" hidden="1" customWidth="1"/>
    <col min="28" max="28" width="0" style="0" hidden="1" customWidth="1"/>
    <col min="29" max="29" width="6.7109375" style="0" hidden="1" customWidth="1"/>
    <col min="30" max="31" width="0" style="0" hidden="1" customWidth="1"/>
    <col min="33" max="33" width="8.8515625" style="0" customWidth="1"/>
    <col min="34" max="34" width="8.140625" style="0" customWidth="1"/>
    <col min="35" max="35" width="8.00390625" style="0" customWidth="1"/>
    <col min="37" max="37" width="6.8515625" style="0" customWidth="1"/>
    <col min="38" max="38" width="9.00390625" style="0" customWidth="1"/>
  </cols>
  <sheetData>
    <row r="3" spans="2:6" ht="12.75">
      <c r="B3" t="s">
        <v>0</v>
      </c>
      <c r="F3" s="10"/>
    </row>
    <row r="4" spans="2:7" ht="12.75">
      <c r="B4" t="s">
        <v>1</v>
      </c>
      <c r="F4" s="10"/>
      <c r="G4" t="s">
        <v>26</v>
      </c>
    </row>
    <row r="5" spans="6:7" ht="12.75">
      <c r="F5" s="11"/>
      <c r="G5" t="s">
        <v>27</v>
      </c>
    </row>
    <row r="6" spans="6:38" ht="12.75">
      <c r="F6" s="12"/>
      <c r="G6" s="10"/>
      <c r="H6" t="s">
        <v>28</v>
      </c>
      <c r="AL6" s="13"/>
    </row>
    <row r="7" spans="2:38" ht="13.5" thickBot="1">
      <c r="B7" s="14" t="s">
        <v>3</v>
      </c>
      <c r="C7" s="15" t="s">
        <v>4</v>
      </c>
      <c r="D7" s="16" t="s">
        <v>29</v>
      </c>
      <c r="E7" s="16" t="s">
        <v>30</v>
      </c>
      <c r="F7" s="17" t="s">
        <v>31</v>
      </c>
      <c r="G7" s="3" t="s">
        <v>32</v>
      </c>
      <c r="H7" s="3" t="s">
        <v>33</v>
      </c>
      <c r="I7" s="18" t="s">
        <v>34</v>
      </c>
      <c r="J7" s="19" t="s">
        <v>35</v>
      </c>
      <c r="K7" s="20"/>
      <c r="L7" s="3"/>
      <c r="M7" s="3"/>
      <c r="N7" s="3"/>
      <c r="O7" s="3"/>
      <c r="P7" s="3"/>
      <c r="Q7" s="3"/>
      <c r="R7" s="3"/>
      <c r="S7" s="3"/>
      <c r="T7" s="3" t="s">
        <v>36</v>
      </c>
      <c r="U7" s="3" t="s">
        <v>37</v>
      </c>
      <c r="V7" s="3" t="s">
        <v>38</v>
      </c>
      <c r="W7" s="21" t="s">
        <v>39</v>
      </c>
      <c r="X7" s="22" t="s">
        <v>40</v>
      </c>
      <c r="Y7" s="23" t="s">
        <v>41</v>
      </c>
      <c r="Z7" s="3" t="s">
        <v>42</v>
      </c>
      <c r="AA7" s="3" t="s">
        <v>43</v>
      </c>
      <c r="AB7" s="3" t="s">
        <v>44</v>
      </c>
      <c r="AC7" s="24" t="s">
        <v>45</v>
      </c>
      <c r="AD7" s="24" t="s">
        <v>46</v>
      </c>
      <c r="AE7" s="3" t="s">
        <v>47</v>
      </c>
      <c r="AF7" s="3" t="s">
        <v>48</v>
      </c>
      <c r="AG7" s="3" t="s">
        <v>49</v>
      </c>
      <c r="AH7" s="3" t="s">
        <v>50</v>
      </c>
      <c r="AI7" s="3" t="s">
        <v>51</v>
      </c>
      <c r="AJ7" s="3" t="s">
        <v>52</v>
      </c>
      <c r="AK7" s="23" t="s">
        <v>53</v>
      </c>
      <c r="AL7" s="23" t="s">
        <v>54</v>
      </c>
    </row>
    <row r="8" spans="1:38" ht="12.75">
      <c r="A8" s="4" t="s">
        <v>2</v>
      </c>
      <c r="B8" s="14"/>
      <c r="C8" s="14" t="s">
        <v>6</v>
      </c>
      <c r="D8" s="16">
        <v>2020</v>
      </c>
      <c r="E8" s="16">
        <v>2020</v>
      </c>
      <c r="F8" s="16">
        <v>2020</v>
      </c>
      <c r="G8" s="16">
        <v>2020</v>
      </c>
      <c r="H8" s="16">
        <v>2020</v>
      </c>
      <c r="I8" s="16">
        <v>2020</v>
      </c>
      <c r="J8" s="3">
        <v>2020</v>
      </c>
      <c r="K8" s="16"/>
      <c r="L8" s="25"/>
      <c r="M8" s="25"/>
      <c r="N8" s="25"/>
      <c r="O8" s="25"/>
      <c r="P8" s="25"/>
      <c r="Q8" s="25"/>
      <c r="R8" s="25"/>
      <c r="S8" s="25"/>
      <c r="T8" s="16" t="s">
        <v>55</v>
      </c>
      <c r="U8" s="16" t="s">
        <v>56</v>
      </c>
      <c r="V8" s="26" t="s">
        <v>57</v>
      </c>
      <c r="W8" s="27"/>
      <c r="X8" s="27"/>
      <c r="Y8" s="6"/>
      <c r="Z8" s="6"/>
      <c r="AA8" s="6"/>
      <c r="AB8" s="3"/>
      <c r="AC8" s="24" t="s">
        <v>58</v>
      </c>
      <c r="AD8" s="24"/>
      <c r="AE8" s="3"/>
      <c r="AF8" s="3"/>
      <c r="AG8" s="3"/>
      <c r="AH8" s="3"/>
      <c r="AI8" s="3"/>
      <c r="AJ8" s="3"/>
      <c r="AK8" s="3"/>
      <c r="AL8" s="3" t="s">
        <v>59</v>
      </c>
    </row>
    <row r="9" spans="1:38" ht="13.5" thickBot="1">
      <c r="A9" s="5" t="s">
        <v>5</v>
      </c>
      <c r="B9" s="6" t="s">
        <v>7</v>
      </c>
      <c r="C9" s="6" t="s">
        <v>8</v>
      </c>
      <c r="D9" s="28">
        <v>35791.76</v>
      </c>
      <c r="E9" s="17">
        <f>156.74+95.6+36107.83</f>
        <v>36360.17</v>
      </c>
      <c r="F9" s="17">
        <v>29137.5</v>
      </c>
      <c r="G9" s="29">
        <f aca="true" t="shared" si="0" ref="G9:G17">D9+E9+F9</f>
        <v>101289.43</v>
      </c>
      <c r="H9" s="30">
        <v>0</v>
      </c>
      <c r="I9" s="30">
        <v>11727</v>
      </c>
      <c r="J9" s="30">
        <v>36292.04</v>
      </c>
      <c r="K9" s="3"/>
      <c r="L9" s="3"/>
      <c r="M9" s="3"/>
      <c r="N9" s="3"/>
      <c r="O9" s="3"/>
      <c r="P9" s="3"/>
      <c r="Q9" s="3"/>
      <c r="R9" s="3"/>
      <c r="S9" s="3"/>
      <c r="T9" s="30">
        <f>5638.48-2638.48-594</f>
        <v>2405.9999999999995</v>
      </c>
      <c r="U9" s="30">
        <f>2638.48+594</f>
        <v>3232.48</v>
      </c>
      <c r="V9" s="30">
        <v>0</v>
      </c>
      <c r="W9" s="31">
        <f>J9+T9+V9-374</f>
        <v>38324.04</v>
      </c>
      <c r="X9" s="31">
        <f>H9+I9+W9</f>
        <v>50051.04</v>
      </c>
      <c r="Y9" s="32">
        <f>G9+H9+I9+W9</f>
        <v>151340.47</v>
      </c>
      <c r="Z9" s="6">
        <f>39292+374</f>
        <v>39666</v>
      </c>
      <c r="AA9" s="3">
        <v>40000</v>
      </c>
      <c r="AB9" s="3">
        <f>40000-1749.43</f>
        <v>38250.57</v>
      </c>
      <c r="AC9" s="3">
        <v>1749.43</v>
      </c>
      <c r="AD9" s="30">
        <f>G9+X9+Z9+AB9</f>
        <v>229257.04</v>
      </c>
      <c r="AE9" s="3">
        <f>39922.73+139.09+92.89+56.1</f>
        <v>40210.81</v>
      </c>
      <c r="AF9" s="3">
        <f>Z9+AB9+AE9</f>
        <v>118127.38</v>
      </c>
      <c r="AG9" s="30">
        <f>Y9+AF9</f>
        <v>269467.85</v>
      </c>
      <c r="AH9" s="6">
        <f>39000+149.75+93.94+56.73+5500</f>
        <v>44800.420000000006</v>
      </c>
      <c r="AI9" s="32">
        <f>39000+147.42+92.48+55.85+5500+1119.56</f>
        <v>45915.31</v>
      </c>
      <c r="AJ9" s="3">
        <f>11340.46+57.64+36.16+21.84+20308.25</f>
        <v>31764.35</v>
      </c>
      <c r="AK9" s="3">
        <f>AH9+AI9+AJ9</f>
        <v>122480.08000000002</v>
      </c>
      <c r="AL9" s="30">
        <f>AG9+AK9</f>
        <v>391947.93</v>
      </c>
    </row>
    <row r="10" spans="1:38" ht="12.75">
      <c r="A10" s="1">
        <v>1</v>
      </c>
      <c r="B10" s="6" t="s">
        <v>9</v>
      </c>
      <c r="C10" s="6" t="s">
        <v>10</v>
      </c>
      <c r="D10" s="28">
        <f>38918.91-429</f>
        <v>38489.91</v>
      </c>
      <c r="E10" s="17">
        <f>155.17+94.64+39231.82+429</f>
        <v>39910.63</v>
      </c>
      <c r="F10" s="17">
        <v>27660</v>
      </c>
      <c r="G10" s="29">
        <f t="shared" si="0"/>
        <v>106060.54000000001</v>
      </c>
      <c r="H10" s="30">
        <v>0</v>
      </c>
      <c r="I10" s="30">
        <v>34074</v>
      </c>
      <c r="J10" s="30">
        <v>39452.87</v>
      </c>
      <c r="K10" s="3"/>
      <c r="L10" s="3"/>
      <c r="M10" s="3"/>
      <c r="N10" s="3"/>
      <c r="O10" s="3"/>
      <c r="P10" s="3"/>
      <c r="Q10" s="3"/>
      <c r="R10" s="3"/>
      <c r="S10" s="3"/>
      <c r="T10" s="30">
        <v>6129.55</v>
      </c>
      <c r="U10" s="30"/>
      <c r="V10" s="30">
        <v>1027.64</v>
      </c>
      <c r="W10" s="31">
        <f>J10+T10+V10</f>
        <v>46610.060000000005</v>
      </c>
      <c r="X10" s="31">
        <f aca="true" t="shared" si="1" ref="X10:X17">H10+I10+W10</f>
        <v>80684.06</v>
      </c>
      <c r="Y10" s="32">
        <f aca="true" t="shared" si="2" ref="Y10:Y17">G10+H10+I10+W10</f>
        <v>186744.6</v>
      </c>
      <c r="Z10" s="6">
        <v>60000</v>
      </c>
      <c r="AA10" s="3">
        <v>60000</v>
      </c>
      <c r="AB10" s="6">
        <f>60000-5805.88</f>
        <v>54194.12</v>
      </c>
      <c r="AC10" s="3">
        <v>5805.88</v>
      </c>
      <c r="AD10" s="30">
        <f aca="true" t="shared" si="3" ref="AD10:AD17">G10+X10+Z10+AB10</f>
        <v>300938.72000000003</v>
      </c>
      <c r="AE10" s="3">
        <f>39587.43+167.91+138.47+67.72</f>
        <v>39961.530000000006</v>
      </c>
      <c r="AF10" s="3">
        <f aca="true" t="shared" si="4" ref="AF10:AF17">Z10+AB10+AE10</f>
        <v>154155.65</v>
      </c>
      <c r="AG10" s="30">
        <f aca="true" t="shared" si="5" ref="AG10:AG17">Y10+AF10</f>
        <v>340900.25</v>
      </c>
      <c r="AH10" s="6">
        <f>50000+180.77+140.04+68.48+15000</f>
        <v>65389.29</v>
      </c>
      <c r="AI10" s="32">
        <f>50000+177.96+137.86+67.42+15000+1320.26</f>
        <v>66703.5</v>
      </c>
      <c r="AJ10" s="3">
        <f>19596.07+69.58+53.9+26.36+7153</f>
        <v>26898.910000000003</v>
      </c>
      <c r="AK10" s="3">
        <f aca="true" t="shared" si="6" ref="AK10:AK17">AH10+AI10+AJ10</f>
        <v>158991.7</v>
      </c>
      <c r="AL10" s="30">
        <f aca="true" t="shared" si="7" ref="AL10:AL17">AG10+AK10</f>
        <v>499891.95</v>
      </c>
    </row>
    <row r="11" spans="1:38" ht="12.75">
      <c r="A11" s="2">
        <v>2</v>
      </c>
      <c r="B11" s="6" t="s">
        <v>11</v>
      </c>
      <c r="C11" s="3" t="s">
        <v>12</v>
      </c>
      <c r="D11" s="28">
        <f>16901.04+1500</f>
        <v>18401.04</v>
      </c>
      <c r="E11" s="17">
        <f>71.56+43.64+17045.34-1500+2000</f>
        <v>17660.54</v>
      </c>
      <c r="F11" s="17">
        <v>15045.34</v>
      </c>
      <c r="G11" s="29">
        <f t="shared" si="0"/>
        <v>51106.92</v>
      </c>
      <c r="H11" s="30">
        <v>0</v>
      </c>
      <c r="I11" s="30">
        <v>17758</v>
      </c>
      <c r="J11" s="30">
        <f>17135.66-3302.06</f>
        <v>13833.6</v>
      </c>
      <c r="K11" s="3"/>
      <c r="L11" s="3"/>
      <c r="M11" s="3"/>
      <c r="N11" s="3"/>
      <c r="O11" s="3"/>
      <c r="P11" s="3"/>
      <c r="Q11" s="3"/>
      <c r="R11" s="3"/>
      <c r="S11" s="3"/>
      <c r="T11" s="30">
        <v>2662.26</v>
      </c>
      <c r="U11" s="30"/>
      <c r="V11" s="30">
        <v>446.68</v>
      </c>
      <c r="W11" s="31">
        <f>J11+T11+V11</f>
        <v>16942.54</v>
      </c>
      <c r="X11" s="31">
        <f t="shared" si="1"/>
        <v>34700.54</v>
      </c>
      <c r="Y11" s="32">
        <f t="shared" si="2"/>
        <v>85807.45999999999</v>
      </c>
      <c r="Z11" s="6">
        <v>28485</v>
      </c>
      <c r="AA11" s="3">
        <v>28485</v>
      </c>
      <c r="AB11" s="6">
        <v>28485</v>
      </c>
      <c r="AC11" s="3">
        <v>0</v>
      </c>
      <c r="AD11" s="30">
        <f t="shared" si="3"/>
        <v>142777.46</v>
      </c>
      <c r="AE11" s="6">
        <f>28487.87+115.36+54.49+46.53</f>
        <v>28704.25</v>
      </c>
      <c r="AF11" s="3">
        <f t="shared" si="4"/>
        <v>85674.25</v>
      </c>
      <c r="AG11" s="30">
        <f t="shared" si="5"/>
        <v>171481.71</v>
      </c>
      <c r="AH11" s="6">
        <f>25000+124.2+55.11+47.05+7500</f>
        <v>32726.36</v>
      </c>
      <c r="AI11" s="32">
        <f>25000+122.27+54.25+46.32+7500+651.82</f>
        <v>33374.66</v>
      </c>
      <c r="AJ11" s="3">
        <f>14042.8+47.81+21.21+18.11+3358.4</f>
        <v>17488.329999999998</v>
      </c>
      <c r="AK11" s="3">
        <f t="shared" si="6"/>
        <v>83589.35</v>
      </c>
      <c r="AL11" s="30">
        <f t="shared" si="7"/>
        <v>255071.06</v>
      </c>
    </row>
    <row r="12" spans="1:38" ht="12.75">
      <c r="A12" s="2">
        <v>3</v>
      </c>
      <c r="B12" s="6" t="s">
        <v>13</v>
      </c>
      <c r="C12" s="6" t="s">
        <v>14</v>
      </c>
      <c r="D12" s="28">
        <v>15691.18</v>
      </c>
      <c r="E12" s="17">
        <f>51.72+31.54+15795.47</f>
        <v>15878.73</v>
      </c>
      <c r="F12" s="28">
        <v>15795.47</v>
      </c>
      <c r="G12" s="29">
        <f t="shared" si="0"/>
        <v>47365.38</v>
      </c>
      <c r="H12" s="30">
        <v>0</v>
      </c>
      <c r="I12" s="30">
        <v>2856</v>
      </c>
      <c r="J12" s="30">
        <v>15899.33</v>
      </c>
      <c r="K12" s="3"/>
      <c r="L12" s="3"/>
      <c r="M12" s="3"/>
      <c r="N12" s="3"/>
      <c r="O12" s="3"/>
      <c r="P12" s="3"/>
      <c r="Q12" s="3"/>
      <c r="R12" s="3"/>
      <c r="S12" s="3"/>
      <c r="T12" s="30">
        <v>2470.18</v>
      </c>
      <c r="U12" s="30"/>
      <c r="V12" s="30">
        <v>413.24</v>
      </c>
      <c r="W12" s="31">
        <f>J12+T12+V12</f>
        <v>18782.75</v>
      </c>
      <c r="X12" s="31">
        <f t="shared" si="1"/>
        <v>21638.75</v>
      </c>
      <c r="Y12" s="32">
        <f t="shared" si="2"/>
        <v>69004.13</v>
      </c>
      <c r="Z12" s="6">
        <v>26000</v>
      </c>
      <c r="AA12" s="3">
        <v>20367.24</v>
      </c>
      <c r="AB12" s="6">
        <v>20367.24</v>
      </c>
      <c r="AC12" s="3">
        <v>0</v>
      </c>
      <c r="AD12" s="30">
        <f t="shared" si="3"/>
        <v>115371.37000000001</v>
      </c>
      <c r="AE12" s="6">
        <f>20000+54.86+69.15+22.13</f>
        <v>20146.140000000003</v>
      </c>
      <c r="AF12" s="3">
        <f t="shared" si="4"/>
        <v>66513.38</v>
      </c>
      <c r="AG12" s="30">
        <f t="shared" si="5"/>
        <v>135517.51</v>
      </c>
      <c r="AH12" s="6">
        <f>24868.06+59.06+69.93+22.38+4848.63</f>
        <v>29868.060000000005</v>
      </c>
      <c r="AI12" s="32">
        <f>22000+58.15+68.84+22.03+192.48+510.87</f>
        <v>22852.37</v>
      </c>
      <c r="AJ12" s="3">
        <f>2868.07+22.74+26.92+8.61+8756.23+676.09</f>
        <v>12358.66</v>
      </c>
      <c r="AK12" s="3">
        <f t="shared" si="6"/>
        <v>65079.09000000001</v>
      </c>
      <c r="AL12" s="30">
        <f t="shared" si="7"/>
        <v>200596.60000000003</v>
      </c>
    </row>
    <row r="13" spans="1:38" ht="12.75">
      <c r="A13" s="2">
        <v>4</v>
      </c>
      <c r="B13" s="6" t="s">
        <v>15</v>
      </c>
      <c r="C13" s="3" t="s">
        <v>16</v>
      </c>
      <c r="D13" s="28">
        <f>5897.02-385</f>
        <v>5512.02</v>
      </c>
      <c r="E13" s="17">
        <f>21.27+12.96+5939.88+385</f>
        <v>6359.11</v>
      </c>
      <c r="F13" s="30">
        <v>5352</v>
      </c>
      <c r="G13" s="29">
        <f t="shared" si="0"/>
        <v>17223.13</v>
      </c>
      <c r="H13" s="30">
        <v>928</v>
      </c>
      <c r="I13" s="30">
        <v>2308</v>
      </c>
      <c r="J13" s="30">
        <v>5976.44</v>
      </c>
      <c r="K13" s="3"/>
      <c r="L13" s="3"/>
      <c r="M13" s="3"/>
      <c r="N13" s="3"/>
      <c r="O13" s="3"/>
      <c r="P13" s="3"/>
      <c r="Q13" s="3"/>
      <c r="R13" s="3"/>
      <c r="S13" s="3"/>
      <c r="T13" s="30">
        <f>928.52-928.52</f>
        <v>0</v>
      </c>
      <c r="U13" s="30">
        <v>928.52</v>
      </c>
      <c r="V13" s="30">
        <v>0</v>
      </c>
      <c r="W13" s="31">
        <f>J13+T13+V13-2528</f>
        <v>3448.4399999999996</v>
      </c>
      <c r="X13" s="31">
        <f t="shared" si="1"/>
        <v>6684.44</v>
      </c>
      <c r="Y13" s="32">
        <f t="shared" si="2"/>
        <v>23907.57</v>
      </c>
      <c r="Z13" s="6">
        <f>6904+2528-2396</f>
        <v>7036</v>
      </c>
      <c r="AA13" s="6">
        <f>6904+2396</f>
        <v>9300</v>
      </c>
      <c r="AB13" s="6">
        <f>6904+2396-9048</f>
        <v>252</v>
      </c>
      <c r="AC13" s="3">
        <v>0</v>
      </c>
      <c r="AD13" s="30">
        <f t="shared" si="3"/>
        <v>31195.57</v>
      </c>
      <c r="AE13" s="6">
        <f>6901.02+19.01+9048-607.49-317.63-4962</f>
        <v>10080.910000000002</v>
      </c>
      <c r="AF13" s="3">
        <f t="shared" si="4"/>
        <v>17368.910000000003</v>
      </c>
      <c r="AG13" s="30">
        <f t="shared" si="5"/>
        <v>41276.48</v>
      </c>
      <c r="AH13" s="6">
        <f>6000+20.46-614.35-321.22+1900+4962</f>
        <v>11946.89</v>
      </c>
      <c r="AI13" s="32">
        <f>6000+20.14-604.79-316.22+1900+135.84</f>
        <v>7134.97</v>
      </c>
      <c r="AJ13" s="3">
        <f>3519.5+7.88-236.48-123.64+43.28-0.12</f>
        <v>3210.4200000000005</v>
      </c>
      <c r="AK13" s="3">
        <f t="shared" si="6"/>
        <v>22292.280000000002</v>
      </c>
      <c r="AL13" s="32">
        <f t="shared" si="7"/>
        <v>63568.76000000001</v>
      </c>
    </row>
    <row r="14" spans="1:38" ht="12.75">
      <c r="A14" s="2">
        <v>5</v>
      </c>
      <c r="B14" s="6" t="s">
        <v>17</v>
      </c>
      <c r="C14" s="3" t="s">
        <v>18</v>
      </c>
      <c r="D14" s="28">
        <v>17072.75</v>
      </c>
      <c r="E14" s="17">
        <f>84.84+51.74+17243.83</f>
        <v>17380.410000000003</v>
      </c>
      <c r="F14" s="30">
        <v>17243.83</v>
      </c>
      <c r="G14" s="29">
        <f t="shared" si="0"/>
        <v>51696.990000000005</v>
      </c>
      <c r="H14" s="30">
        <v>20166</v>
      </c>
      <c r="I14" s="30">
        <v>31428</v>
      </c>
      <c r="J14" s="30">
        <v>17318.01</v>
      </c>
      <c r="K14" s="3"/>
      <c r="L14" s="3"/>
      <c r="M14" s="3"/>
      <c r="N14" s="3"/>
      <c r="O14" s="3"/>
      <c r="P14" s="3"/>
      <c r="Q14" s="3"/>
      <c r="R14" s="3"/>
      <c r="S14" s="3"/>
      <c r="T14" s="30">
        <v>2690.59</v>
      </c>
      <c r="U14" s="30"/>
      <c r="V14" s="30">
        <v>452.48</v>
      </c>
      <c r="W14" s="31">
        <f>J14+T14+V14-181</f>
        <v>20280.079999999998</v>
      </c>
      <c r="X14" s="31">
        <f t="shared" si="1"/>
        <v>71874.08</v>
      </c>
      <c r="Y14" s="32">
        <f t="shared" si="2"/>
        <v>123571.07</v>
      </c>
      <c r="Z14" s="6">
        <f>25000+181</f>
        <v>25181</v>
      </c>
      <c r="AA14" s="3">
        <v>18000</v>
      </c>
      <c r="AB14" s="6">
        <v>18000</v>
      </c>
      <c r="AC14" s="3">
        <v>0</v>
      </c>
      <c r="AD14" s="30">
        <f t="shared" si="3"/>
        <v>166752.07</v>
      </c>
      <c r="AE14" s="6">
        <f>15839.04+83.11+34.68+33.52</f>
        <v>15990.350000000002</v>
      </c>
      <c r="AF14" s="3">
        <f t="shared" si="4"/>
        <v>59171.350000000006</v>
      </c>
      <c r="AG14" s="30">
        <f t="shared" si="5"/>
        <v>182742.42</v>
      </c>
      <c r="AH14" s="6">
        <f>20000+89.48+35.07+33.9+10000</f>
        <v>30158.45</v>
      </c>
      <c r="AI14" s="32">
        <f>19094+88.08+34.52+33.37+3245.28+471.32</f>
        <v>22966.57</v>
      </c>
      <c r="AJ14" s="3">
        <f>5000.43+34.44+13.5+13.05</f>
        <v>5061.42</v>
      </c>
      <c r="AK14" s="3">
        <f t="shared" si="6"/>
        <v>58186.44</v>
      </c>
      <c r="AL14" s="30">
        <f t="shared" si="7"/>
        <v>240928.86000000002</v>
      </c>
    </row>
    <row r="15" spans="1:38" ht="12.75">
      <c r="A15" s="2">
        <v>6</v>
      </c>
      <c r="B15" s="6" t="s">
        <v>19</v>
      </c>
      <c r="C15" s="3" t="s">
        <v>20</v>
      </c>
      <c r="D15" s="28">
        <v>48078.99</v>
      </c>
      <c r="E15" s="28">
        <f>-663.1+94.52+47573.44</f>
        <v>47004.86</v>
      </c>
      <c r="F15" s="30">
        <v>47573.44</v>
      </c>
      <c r="G15" s="29">
        <f t="shared" si="0"/>
        <v>142657.29</v>
      </c>
      <c r="H15" s="30">
        <v>0</v>
      </c>
      <c r="I15" s="30">
        <v>0</v>
      </c>
      <c r="J15" s="30">
        <v>23383.16</v>
      </c>
      <c r="K15" s="3"/>
      <c r="L15" s="3"/>
      <c r="M15" s="3"/>
      <c r="N15" s="3"/>
      <c r="O15" s="3"/>
      <c r="P15" s="3"/>
      <c r="Q15" s="3"/>
      <c r="R15" s="3"/>
      <c r="S15" s="3"/>
      <c r="T15" s="30">
        <v>7265.8</v>
      </c>
      <c r="U15" s="30"/>
      <c r="V15" s="30">
        <v>1215.73</v>
      </c>
      <c r="W15" s="31">
        <f>J15+T15+V15</f>
        <v>31864.69</v>
      </c>
      <c r="X15" s="31">
        <f t="shared" si="1"/>
        <v>31864.69</v>
      </c>
      <c r="Y15" s="32">
        <f t="shared" si="2"/>
        <v>174521.98</v>
      </c>
      <c r="Z15" s="6">
        <v>65000</v>
      </c>
      <c r="AA15" s="3">
        <v>57000</v>
      </c>
      <c r="AB15" s="6">
        <v>57000</v>
      </c>
      <c r="AC15" s="3">
        <v>0</v>
      </c>
      <c r="AD15" s="30">
        <f t="shared" si="3"/>
        <v>296521.98</v>
      </c>
      <c r="AE15" s="6">
        <f>44442.52+138.57+172.65+55.89</f>
        <v>44809.63</v>
      </c>
      <c r="AF15" s="3">
        <f t="shared" si="4"/>
        <v>166809.63</v>
      </c>
      <c r="AG15" s="30">
        <f t="shared" si="5"/>
        <v>341331.61</v>
      </c>
      <c r="AH15" s="6">
        <f>50000+149.19+174.6+56.52+20000</f>
        <v>70380.31</v>
      </c>
      <c r="AI15" s="32">
        <f>50000+146.87+171.88+55.65+10000+1281.09</f>
        <v>61655.49</v>
      </c>
      <c r="AJ15" s="3">
        <f>24733.33+57.43+67.21+21.75+6291.82</f>
        <v>31171.54</v>
      </c>
      <c r="AK15" s="3">
        <f t="shared" si="6"/>
        <v>163207.34</v>
      </c>
      <c r="AL15" s="30">
        <f t="shared" si="7"/>
        <v>504538.94999999995</v>
      </c>
    </row>
    <row r="16" spans="1:38" ht="12.75">
      <c r="A16" s="2">
        <v>7</v>
      </c>
      <c r="B16" s="6" t="s">
        <v>21</v>
      </c>
      <c r="C16" s="3" t="s">
        <v>22</v>
      </c>
      <c r="D16" s="30">
        <v>18344.14</v>
      </c>
      <c r="E16" s="30">
        <f>-441.08+94.86+17703.87</f>
        <v>17357.649999999998</v>
      </c>
      <c r="F16" s="3">
        <v>10512</v>
      </c>
      <c r="G16" s="29">
        <f t="shared" si="0"/>
        <v>46213.78999999999</v>
      </c>
      <c r="H16" s="30">
        <v>0</v>
      </c>
      <c r="I16" s="30">
        <v>0</v>
      </c>
      <c r="J16" s="30">
        <v>9778.19</v>
      </c>
      <c r="K16" s="3"/>
      <c r="L16" s="3"/>
      <c r="M16" s="3"/>
      <c r="N16" s="3"/>
      <c r="O16" s="3"/>
      <c r="P16" s="3"/>
      <c r="Q16" s="3"/>
      <c r="R16" s="3"/>
      <c r="S16" s="3"/>
      <c r="T16" s="30">
        <v>2762.14</v>
      </c>
      <c r="U16" s="30"/>
      <c r="V16" s="30">
        <v>464.6</v>
      </c>
      <c r="W16" s="33">
        <f>J16+T16+V16</f>
        <v>13004.93</v>
      </c>
      <c r="X16" s="31">
        <f t="shared" si="1"/>
        <v>13004.93</v>
      </c>
      <c r="Y16" s="30">
        <f t="shared" si="2"/>
        <v>59218.719999999994</v>
      </c>
      <c r="Z16" s="6">
        <v>16650</v>
      </c>
      <c r="AA16" s="3">
        <v>16657</v>
      </c>
      <c r="AB16" s="6">
        <v>16657</v>
      </c>
      <c r="AC16" s="3">
        <v>0</v>
      </c>
      <c r="AD16" s="30">
        <f t="shared" si="3"/>
        <v>92525.72</v>
      </c>
      <c r="AE16" s="6">
        <f>16650.49-741.4+28.98+26.29</f>
        <v>15964.360000000002</v>
      </c>
      <c r="AF16" s="3">
        <f t="shared" si="4"/>
        <v>49271.36</v>
      </c>
      <c r="AG16" s="30">
        <f t="shared" si="5"/>
        <v>108490.07999999999</v>
      </c>
      <c r="AH16" s="6">
        <f>15000-798.2+29.31+26.59+5000</f>
        <v>19257.699999999997</v>
      </c>
      <c r="AI16" s="32">
        <f>15000-785.79+28.85+26.17+5000+359.91</f>
        <v>19629.14</v>
      </c>
      <c r="AJ16" s="3">
        <f>7438.53-307.25+11.28+10.23+133.19</f>
        <v>7285.979999999999</v>
      </c>
      <c r="AK16" s="3">
        <f t="shared" si="6"/>
        <v>46172.81999999999</v>
      </c>
      <c r="AL16" s="30">
        <f t="shared" si="7"/>
        <v>154662.89999999997</v>
      </c>
    </row>
    <row r="17" spans="1:38" ht="12.75">
      <c r="A17" s="2">
        <v>8</v>
      </c>
      <c r="B17" s="6" t="s">
        <v>23</v>
      </c>
      <c r="C17" s="3" t="s">
        <v>24</v>
      </c>
      <c r="D17" s="30">
        <f>5304.21-3300</f>
        <v>2004.21</v>
      </c>
      <c r="E17" s="30">
        <f>26.94+16.44+5358.52+3300-5400</f>
        <v>3301.9000000000015</v>
      </c>
      <c r="F17" s="3">
        <v>4816</v>
      </c>
      <c r="G17" s="29">
        <f t="shared" si="0"/>
        <v>10122.11</v>
      </c>
      <c r="H17" s="30">
        <v>10500</v>
      </c>
      <c r="I17" s="30">
        <v>10015</v>
      </c>
      <c r="J17" s="30">
        <v>5380.78</v>
      </c>
      <c r="K17" s="3"/>
      <c r="L17" s="3"/>
      <c r="M17" s="3"/>
      <c r="N17" s="3"/>
      <c r="O17" s="3"/>
      <c r="P17" s="3"/>
      <c r="Q17" s="3"/>
      <c r="R17" s="3"/>
      <c r="S17" s="3"/>
      <c r="T17" s="30">
        <v>835.98</v>
      </c>
      <c r="U17" s="30"/>
      <c r="V17" s="30">
        <v>140.63</v>
      </c>
      <c r="W17" s="33">
        <f>J17+T17+V17</f>
        <v>6357.39</v>
      </c>
      <c r="X17" s="31">
        <f t="shared" si="1"/>
        <v>26872.39</v>
      </c>
      <c r="Y17" s="30">
        <f t="shared" si="2"/>
        <v>36994.5</v>
      </c>
      <c r="Z17" s="6">
        <f>6300-3944</f>
        <v>2356</v>
      </c>
      <c r="AA17" s="6">
        <f>6500+3944</f>
        <v>10444</v>
      </c>
      <c r="AB17" s="6">
        <f>6500+3944-5128</f>
        <v>5316</v>
      </c>
      <c r="AC17" s="3">
        <v>0</v>
      </c>
      <c r="AD17" s="30">
        <f t="shared" si="3"/>
        <v>44666.5</v>
      </c>
      <c r="AE17" s="6">
        <f>7623.99+23.49+5128+16.18+9.45-6641</f>
        <v>6160.110000000001</v>
      </c>
      <c r="AF17" s="3">
        <f t="shared" si="4"/>
        <v>13832.11</v>
      </c>
      <c r="AG17" s="30">
        <f t="shared" si="5"/>
        <v>50826.61</v>
      </c>
      <c r="AH17" s="6">
        <f>6400+25.29+16.36+9.56+2000+6641</f>
        <v>15092.21</v>
      </c>
      <c r="AI17" s="32">
        <f>6500+24.89+16.11+9.41+2000+168.49</f>
        <v>8718.9</v>
      </c>
      <c r="AJ17" s="3">
        <f>2405.92+9.74+6.3+3.69+729.62</f>
        <v>3155.27</v>
      </c>
      <c r="AK17" s="3">
        <f t="shared" si="6"/>
        <v>26966.38</v>
      </c>
      <c r="AL17" s="30">
        <f t="shared" si="7"/>
        <v>77792.99</v>
      </c>
    </row>
    <row r="18" spans="1:38" ht="13.5" thickBot="1">
      <c r="A18" s="8">
        <v>9</v>
      </c>
      <c r="B18" s="6" t="s">
        <v>60</v>
      </c>
      <c r="C18" s="3" t="s">
        <v>61</v>
      </c>
      <c r="D18" s="30"/>
      <c r="E18" s="30"/>
      <c r="F18" s="3"/>
      <c r="G18" s="29"/>
      <c r="H18" s="30"/>
      <c r="I18" s="30"/>
      <c r="J18" s="30"/>
      <c r="K18" s="3"/>
      <c r="L18" s="3"/>
      <c r="M18" s="3"/>
      <c r="N18" s="3"/>
      <c r="O18" s="3"/>
      <c r="P18" s="3"/>
      <c r="Q18" s="3"/>
      <c r="R18" s="3"/>
      <c r="S18" s="3"/>
      <c r="T18" s="30"/>
      <c r="U18" s="30"/>
      <c r="V18" s="30"/>
      <c r="W18" s="33"/>
      <c r="X18" s="31"/>
      <c r="Y18" s="30"/>
      <c r="Z18" s="6"/>
      <c r="AA18" s="6"/>
      <c r="AB18" s="6"/>
      <c r="AC18" s="3"/>
      <c r="AD18" s="30"/>
      <c r="AE18" s="6"/>
      <c r="AF18" s="3"/>
      <c r="AG18" s="30"/>
      <c r="AH18" s="3">
        <v>0</v>
      </c>
      <c r="AI18" s="30">
        <v>0</v>
      </c>
      <c r="AJ18" s="3">
        <v>0</v>
      </c>
      <c r="AK18" s="30">
        <f>AH18+AI18+AJ18</f>
        <v>0</v>
      </c>
      <c r="AL18" s="30">
        <f>AK18</f>
        <v>0</v>
      </c>
    </row>
    <row r="19" spans="1:38" ht="13.5" thickBot="1">
      <c r="A19" s="9"/>
      <c r="B19" s="14" t="s">
        <v>25</v>
      </c>
      <c r="C19" s="14"/>
      <c r="D19" s="29">
        <f aca="true" t="shared" si="8" ref="D19:J19">SUM(D9:D17)</f>
        <v>199386.00000000003</v>
      </c>
      <c r="E19" s="29">
        <f t="shared" si="8"/>
        <v>201214</v>
      </c>
      <c r="F19" s="34">
        <f t="shared" si="8"/>
        <v>173135.58000000002</v>
      </c>
      <c r="G19" s="29">
        <f t="shared" si="8"/>
        <v>573735.5800000001</v>
      </c>
      <c r="H19" s="29">
        <f t="shared" si="8"/>
        <v>31594</v>
      </c>
      <c r="I19" s="29">
        <f t="shared" si="8"/>
        <v>110166</v>
      </c>
      <c r="J19" s="29">
        <f t="shared" si="8"/>
        <v>167314.42</v>
      </c>
      <c r="K19" s="14"/>
      <c r="L19" s="14"/>
      <c r="M19" s="14"/>
      <c r="N19" s="14"/>
      <c r="O19" s="14"/>
      <c r="P19" s="14"/>
      <c r="Q19" s="14"/>
      <c r="R19" s="14"/>
      <c r="S19" s="14"/>
      <c r="T19" s="29">
        <f aca="true" t="shared" si="9" ref="T19:AJ19">SUM(T9:T17)</f>
        <v>27222.5</v>
      </c>
      <c r="U19" s="29">
        <f t="shared" si="9"/>
        <v>4161</v>
      </c>
      <c r="V19" s="29">
        <f t="shared" si="9"/>
        <v>4161</v>
      </c>
      <c r="W19" s="35">
        <f t="shared" si="9"/>
        <v>195614.92</v>
      </c>
      <c r="X19" s="35">
        <f t="shared" si="9"/>
        <v>337374.92000000004</v>
      </c>
      <c r="Y19" s="29">
        <f t="shared" si="9"/>
        <v>911110.5</v>
      </c>
      <c r="Z19" s="24">
        <f t="shared" si="9"/>
        <v>270374</v>
      </c>
      <c r="AA19" s="24">
        <f t="shared" si="9"/>
        <v>260253.24</v>
      </c>
      <c r="AB19" s="24">
        <f t="shared" si="9"/>
        <v>238521.93</v>
      </c>
      <c r="AC19" s="24">
        <f t="shared" si="9"/>
        <v>7555.31</v>
      </c>
      <c r="AD19" s="36">
        <f t="shared" si="9"/>
        <v>1420006.43</v>
      </c>
      <c r="AE19" s="24">
        <f t="shared" si="9"/>
        <v>222028.09000000003</v>
      </c>
      <c r="AF19" s="24">
        <f t="shared" si="9"/>
        <v>730924.02</v>
      </c>
      <c r="AG19" s="36">
        <f t="shared" si="9"/>
        <v>1642034.5200000003</v>
      </c>
      <c r="AH19" s="24">
        <f t="shared" si="9"/>
        <v>319619.69000000006</v>
      </c>
      <c r="AI19" s="36">
        <f t="shared" si="9"/>
        <v>288950.91000000003</v>
      </c>
      <c r="AJ19" s="36">
        <f t="shared" si="9"/>
        <v>138394.88</v>
      </c>
      <c r="AK19" s="37">
        <f>SUM(AK9:AK18)</f>
        <v>746965.48</v>
      </c>
      <c r="AL19" s="36">
        <f>SUM(AL9:AL18)</f>
        <v>2389000.0000000005</v>
      </c>
    </row>
    <row r="20" spans="2:35" ht="12.75">
      <c r="B20" s="38"/>
      <c r="AI20" s="39"/>
    </row>
    <row r="21" ht="12.75">
      <c r="B21" s="38" t="s">
        <v>62</v>
      </c>
    </row>
    <row r="24" spans="4:7" ht="12.75">
      <c r="D24" s="7"/>
      <c r="E24" s="7"/>
      <c r="G24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2020-10-23T08:02:06Z</cp:lastPrinted>
  <dcterms:created xsi:type="dcterms:W3CDTF">1996-10-14T23:33:28Z</dcterms:created>
  <dcterms:modified xsi:type="dcterms:W3CDTF">2020-10-23T08:04:34Z</dcterms:modified>
  <cp:category/>
  <cp:version/>
  <cp:contentType/>
  <cp:contentStatus/>
</cp:coreProperties>
</file>